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<sst xmlns="http://schemas.openxmlformats.org/spreadsheetml/2006/main" count="398" uniqueCount="198">
  <si>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</si>
  <si>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</si>
  <si>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</si>
  <si>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</si>
  <si>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</si>
  <si>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</si>
  <si>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</si>
  <si>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</si>
  <si>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</si>
  <si>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</si>
  <si>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</si>
  <si>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</si>
  <si>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</si>
  <si>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</si>
  <si>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</si>
  <si>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</si>
  <si>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</si>
  <si>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</si>
  <si>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</si>
  <si>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</si>
  <si>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</si>
  <si>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</si>
  <si>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</si>
  <si>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</si>
  <si>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</si>
  <si>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</si>
  <si>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</si>
  <si>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</si>
  <si>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</si>
  <si>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</si>
  <si>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</si>
  <si>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</si>
  <si>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</si>
  <si>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</si>
  <si>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</si>
  <si>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</si>
  <si>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</si>
  <si>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</si>
  <si>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</si>
  <si>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</si>
  <si>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</si>
  <si>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</si>
  <si>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</si>
  <si>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</si>
  <si>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</si>
  <si>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</si>
  <si>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</si>
  <si>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</si>
  <si>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</si>
  <si>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</si>
  <si>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</si>
  <si>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</si>
  <si>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</si>
  <si>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</si>
  <si>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</si>
  <si>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</si>
  <si>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</si>
  <si>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</si>
  <si>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</si>
  <si>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</si>
  <si>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</si>
  <si>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</si>
  <si>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</si>
  <si>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</si>
  <si>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</si>
  <si>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</si>
  <si>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</si>
  <si>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</si>
  <si>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</si>
  <si>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</si>
  <si>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</si>
  <si>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</si>
  <si>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</si>
  <si>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</si>
  <si>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</si>
  <si>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</si>
  <si>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</si>
  <si>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</si>
  <si>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</si>
  <si>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</si>
  <si>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</si>
  <si>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</si>
  <si>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</si>
  <si>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</si>
  <si>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</si>
  <si>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</si>
  <si>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</si>
  <si>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</si>
  <si>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</si>
  <si>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</si>
  <si>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</si>
  <si>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</si>
  <si>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</si>
  <si>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</si>
  <si>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</si>
  <si>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</si>
  <si>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</si>
  <si>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</si>
  <si>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</si>
  <si>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</si>
  <si>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</si>
  <si>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</si>
  <si>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</si>
  <si>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</si>
  <si>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</si>
  <si>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</si>
  <si>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</si>
  <si>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</si>
  <si>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</si>
  <si>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</si>
  <si>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</si>
  <si>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</si>
  <si>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</si>
  <si>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</si>
  <si>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</si>
  <si>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</si>
  <si>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</si>
  <si>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</si>
  <si>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</si>
  <si>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</si>
  <si>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</si>
  <si>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</si>
  <si>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</si>
  <si>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</si>
  <si>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</si>
  <si>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</si>
  <si>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</si>
  <si>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</si>
  <si>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</si>
  <si>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</si>
  <si>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</si>
  <si>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</si>
  <si>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</si>
  <si>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</si>
  <si>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</si>
  <si>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</si>
  <si>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</si>
  <si>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</si>
  <si>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</si>
  <si>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</si>
  <si>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</si>
  <si>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</si>
  <si>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</si>
  <si>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</si>
  <si>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</si>
  <si>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</si>
  <si>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</si>
  <si>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</si>
  <si>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</si>
  <si>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</si>
  <si>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</si>
  <si>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</si>
  <si>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</si>
  <si>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</si>
  <si>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</si>
  <si>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</si>
  <si>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</si>
  <si>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</si>
  <si>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</si>
  <si>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</si>
  <si>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</si>
  <si>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</si>
  <si>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</si>
  <si>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</si>
  <si>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</si>
  <si>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</si>
  <si>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</si>
  <si>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</si>
  <si>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</si>
  <si>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</si>
  <si>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</si>
  <si>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</si>
  <si>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</si>
  <si>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</si>
  <si>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</si>
  <si>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</si>
  <si>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</si>
  <si>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</si>
  <si>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</si>
  <si>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</si>
  <si>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</si>
  <si>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</si>
  <si>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</si>
  <si>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</si>
  <si>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</si>
  <si>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</si>
  <si>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</si>
  <si>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</si>
  <si>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</si>
  <si>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</si>
  <si>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</si>
  <si>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</si>
  <si>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</si>
  <si>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</si>
  <si>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</si>
  <si>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</si>
  <si>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</si>
  <si>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21.02.14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</si>
</sst>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"/>
      <sheetName val="5250-сф"/>
      <sheetName val="очік-02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121265455.15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107440233.19</v>
          </cell>
        </row>
      </sheetData>
      <sheetData sheetId="17">
        <row r="28">
          <cell r="C28">
            <v>2806666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04" sqref="K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79" t="s">
        <v>196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191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194</v>
      </c>
      <c r="N3" s="172" t="s">
        <v>188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195</v>
      </c>
      <c r="F4" s="173" t="s">
        <v>116</v>
      </c>
      <c r="G4" s="175" t="s">
        <v>167</v>
      </c>
      <c r="H4" s="177" t="s">
        <v>168</v>
      </c>
      <c r="I4" s="170" t="s">
        <v>192</v>
      </c>
      <c r="J4" s="166" t="s">
        <v>193</v>
      </c>
      <c r="K4" s="125" t="s">
        <v>174</v>
      </c>
      <c r="L4" s="132" t="s">
        <v>173</v>
      </c>
      <c r="M4" s="189"/>
      <c r="N4" s="168" t="s">
        <v>197</v>
      </c>
      <c r="O4" s="170" t="s">
        <v>136</v>
      </c>
      <c r="P4" s="172" t="s">
        <v>135</v>
      </c>
      <c r="Q4" s="133" t="s">
        <v>174</v>
      </c>
      <c r="R4" s="134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187</v>
      </c>
      <c r="L5" s="164"/>
      <c r="M5" s="189"/>
      <c r="N5" s="169"/>
      <c r="O5" s="171"/>
      <c r="P5" s="172"/>
      <c r="Q5" s="153" t="s">
        <v>182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55736.380000000005</v>
      </c>
      <c r="G8" s="22">
        <f aca="true" t="shared" si="0" ref="G8:G30">F8-E8</f>
        <v>-14293.619999999995</v>
      </c>
      <c r="H8" s="51">
        <f>F8/E8*100</f>
        <v>79.58929030415537</v>
      </c>
      <c r="I8" s="36">
        <f aca="true" t="shared" si="1" ref="I8:I17">F8-D8</f>
        <v>-463592.92</v>
      </c>
      <c r="J8" s="36">
        <f aca="true" t="shared" si="2" ref="J8:J14">F8/D8*100</f>
        <v>10.732377318206387</v>
      </c>
      <c r="K8" s="36">
        <f>F8-72579.4</f>
        <v>-16843.01999999999</v>
      </c>
      <c r="L8" s="138">
        <f>F8/72579.4</f>
        <v>0.767936632157334</v>
      </c>
      <c r="M8" s="22">
        <f>M10+M19+M33+M56+M68+M30</f>
        <v>35825</v>
      </c>
      <c r="N8" s="22">
        <f>N10+N19+N33+N56+N68+N30</f>
        <v>21988.219999999998</v>
      </c>
      <c r="O8" s="36">
        <f aca="true" t="shared" si="3" ref="O8:O71">N8-M8</f>
        <v>-13836.780000000002</v>
      </c>
      <c r="P8" s="36">
        <f>F8/M8*100</f>
        <v>155.57956734124215</v>
      </c>
      <c r="Q8" s="36">
        <f>N8-38977.9</f>
        <v>-16989.680000000004</v>
      </c>
      <c r="R8" s="136">
        <f>N8/31977.9</f>
        <v>0.6876067534140765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46148.2</v>
      </c>
      <c r="G9" s="22">
        <f t="shared" si="0"/>
        <v>46148.2</v>
      </c>
      <c r="H9" s="20"/>
      <c r="I9" s="56">
        <f t="shared" si="1"/>
        <v>-372218</v>
      </c>
      <c r="J9" s="56">
        <f t="shared" si="2"/>
        <v>11.030575605773123</v>
      </c>
      <c r="K9" s="56"/>
      <c r="L9" s="137"/>
      <c r="M9" s="20">
        <f>M10+M17</f>
        <v>28750</v>
      </c>
      <c r="N9" s="20">
        <f>N10+N17</f>
        <v>19580.089999999997</v>
      </c>
      <c r="O9" s="36">
        <f t="shared" si="3"/>
        <v>-9169.910000000003</v>
      </c>
      <c r="P9" s="56">
        <f>F9/M9*100</f>
        <v>160.51547826086957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f>38829.43+1827.42+2999.97+2491.38</f>
        <v>46148.2</v>
      </c>
      <c r="G10" s="49">
        <f t="shared" si="0"/>
        <v>-9751.800000000003</v>
      </c>
      <c r="H10" s="40">
        <f aca="true" t="shared" si="4" ref="H10:H17">F10/E10*100</f>
        <v>82.55491949910554</v>
      </c>
      <c r="I10" s="56">
        <f t="shared" si="1"/>
        <v>-372218</v>
      </c>
      <c r="J10" s="56">
        <f t="shared" si="2"/>
        <v>11.030575605773123</v>
      </c>
      <c r="K10" s="56">
        <f>F10-55122.8</f>
        <v>-8974.600000000006</v>
      </c>
      <c r="L10" s="137">
        <f>F10/55122.8</f>
        <v>0.8371889671787354</v>
      </c>
      <c r="M10" s="40">
        <f>E10-'січень '!E10</f>
        <v>28750</v>
      </c>
      <c r="N10" s="40">
        <f>F10-'січень '!F10</f>
        <v>19580.089999999997</v>
      </c>
      <c r="O10" s="53">
        <f t="shared" si="3"/>
        <v>-9169.910000000003</v>
      </c>
      <c r="P10" s="56">
        <f aca="true" t="shared" si="5" ref="P10:P17">N10/M10*100</f>
        <v>68.10466086956521</v>
      </c>
      <c r="Q10" s="143">
        <f>N10-28390.4</f>
        <v>-8810.310000000005</v>
      </c>
      <c r="R10" s="144">
        <f>N10/28390.4</f>
        <v>0.6896729176059512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f>397.21+2.7+1.03+9.57</f>
        <v>410.50999999999993</v>
      </c>
      <c r="G19" s="49">
        <f t="shared" si="0"/>
        <v>210.50999999999993</v>
      </c>
      <c r="H19" s="40">
        <f aca="true" t="shared" si="6" ref="H19:H28">F19/E19*100</f>
        <v>205.25499999999997</v>
      </c>
      <c r="I19" s="56">
        <f aca="true" t="shared" si="7" ref="I19:I29">F19-D19</f>
        <v>-5589.49</v>
      </c>
      <c r="J19" s="56">
        <f aca="true" t="shared" si="8" ref="J19:J29">F19/D19*100</f>
        <v>6.841833333333332</v>
      </c>
      <c r="K19" s="56">
        <f>F19-3876</f>
        <v>-3465.4900000000002</v>
      </c>
      <c r="L19" s="137">
        <f>F19/3876</f>
        <v>0.10591073271413827</v>
      </c>
      <c r="M19" s="40">
        <f>E19-'січень '!E19</f>
        <v>100</v>
      </c>
      <c r="N19" s="40">
        <f>F19-'січень '!F19</f>
        <v>51.69999999999993</v>
      </c>
      <c r="O19" s="53">
        <f t="shared" si="3"/>
        <v>-48.30000000000007</v>
      </c>
      <c r="P19" s="56">
        <f aca="true" t="shared" si="9" ref="P19:P28">N19/M19*100</f>
        <v>51.69999999999993</v>
      </c>
      <c r="Q19" s="56">
        <f>N19-3681.4</f>
        <v>-3629.7000000000003</v>
      </c>
      <c r="R19" s="137">
        <f>N19/3681.4</f>
        <v>0.01404357038083336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7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7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45">
        <v>11010232</v>
      </c>
      <c r="D29" s="146">
        <v>3000</v>
      </c>
      <c r="E29" s="41"/>
      <c r="F29" s="148">
        <f>384.09+9.57</f>
        <v>393.65999999999997</v>
      </c>
      <c r="G29" s="49"/>
      <c r="H29" s="40"/>
      <c r="I29" s="56">
        <f t="shared" si="7"/>
        <v>-2606.34</v>
      </c>
      <c r="J29" s="56">
        <f t="shared" si="8"/>
        <v>13.121999999999998</v>
      </c>
      <c r="K29" s="150">
        <f>F29-322.6</f>
        <v>71.05999999999995</v>
      </c>
      <c r="L29" s="151">
        <f>F29/322.6</f>
        <v>1.2202727836329819</v>
      </c>
      <c r="M29" s="148">
        <f>E29-'січень '!E29</f>
        <v>0</v>
      </c>
      <c r="N29" s="148">
        <f>F29-'січень '!F29</f>
        <v>34.86999999999995</v>
      </c>
      <c r="O29" s="150"/>
      <c r="P29" s="56"/>
      <c r="Q29" s="56">
        <f>N29-162.6</f>
        <v>-127.73000000000005</v>
      </c>
      <c r="R29" s="137">
        <f>N29/162.6</f>
        <v>0.21445264452644494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2.91</v>
      </c>
      <c r="G30" s="49">
        <f t="shared" si="0"/>
        <v>2.91</v>
      </c>
      <c r="H30" s="40"/>
      <c r="I30" s="56"/>
      <c r="J30" s="56"/>
      <c r="K30" s="56">
        <f>F30-25.1</f>
        <v>-22.19</v>
      </c>
      <c r="L30" s="137"/>
      <c r="M30" s="40">
        <f>E30-'січень '!E30</f>
        <v>0</v>
      </c>
      <c r="N30" s="40">
        <f>F30-'січень '!F30</f>
        <v>2.91</v>
      </c>
      <c r="O30" s="53">
        <f t="shared" si="3"/>
        <v>2.91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f>7636.31+171.09+173.2+139.54</f>
        <v>8120.14</v>
      </c>
      <c r="G33" s="49">
        <f aca="true" t="shared" si="14" ref="G33:G72">F33-E33</f>
        <v>-4679.86</v>
      </c>
      <c r="H33" s="40">
        <f aca="true" t="shared" si="15" ref="H33:H67">F33/E33*100</f>
        <v>63.43859375</v>
      </c>
      <c r="I33" s="56">
        <f>F33-D33</f>
        <v>-79945.86</v>
      </c>
      <c r="J33" s="56">
        <f aca="true" t="shared" si="16" ref="J33:J72">F33/D33*100</f>
        <v>9.220516430858675</v>
      </c>
      <c r="K33" s="56">
        <f>F33-12535.7</f>
        <v>-4415.56</v>
      </c>
      <c r="L33" s="137">
        <f>F33/12535.7</f>
        <v>0.6477611940298508</v>
      </c>
      <c r="M33" s="40">
        <f>E33-'січень '!E33</f>
        <v>6400</v>
      </c>
      <c r="N33" s="40">
        <f>F33-'січень '!F33</f>
        <v>1826.8500000000004</v>
      </c>
      <c r="O33" s="53">
        <f t="shared" si="3"/>
        <v>-4573.15</v>
      </c>
      <c r="P33" s="56">
        <f aca="true" t="shared" si="17" ref="P33:P67">N33/M33*100</f>
        <v>28.544531250000006</v>
      </c>
      <c r="Q33" s="143">
        <f>N33-6362.9</f>
        <v>-4536.049999999999</v>
      </c>
      <c r="R33" s="144">
        <f>N33/6362.9</f>
        <v>0.2871096512596458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7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4">N34-6362.9</f>
        <v>-6362.9</v>
      </c>
      <c r="R34" s="144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46">
        <f>56066+10200</f>
        <v>66266</v>
      </c>
      <c r="E55" s="146">
        <v>9500</v>
      </c>
      <c r="F55" s="148">
        <f>5864.43+140.55+126.3+105.34</f>
        <v>6236.620000000001</v>
      </c>
      <c r="G55" s="146">
        <f t="shared" si="14"/>
        <v>-3263.379999999999</v>
      </c>
      <c r="H55" s="148">
        <f t="shared" si="15"/>
        <v>65.64863157894737</v>
      </c>
      <c r="I55" s="147">
        <f t="shared" si="18"/>
        <v>-60029.38</v>
      </c>
      <c r="J55" s="147">
        <f t="shared" si="16"/>
        <v>9.411493073370961</v>
      </c>
      <c r="K55" s="150">
        <f>F55-9287.5</f>
        <v>-3050.879999999999</v>
      </c>
      <c r="L55" s="151">
        <f>F55/9287.5</f>
        <v>0.671506864064603</v>
      </c>
      <c r="M55" s="148">
        <f>E55-'січень '!E55</f>
        <v>4750</v>
      </c>
      <c r="N55" s="148">
        <f>F55-'січень '!F55</f>
        <v>1548.710000000001</v>
      </c>
      <c r="O55" s="150">
        <f t="shared" si="3"/>
        <v>-3201.289999999999</v>
      </c>
      <c r="P55" s="60">
        <f t="shared" si="17"/>
        <v>32.6044210526316</v>
      </c>
      <c r="Q55" s="143">
        <f>N55-4413.4</f>
        <v>-2864.6899999999987</v>
      </c>
      <c r="R55" s="144">
        <f>N55/4413.4</f>
        <v>0.3509108623736804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f>1048.58+1.91+1.93+1.48</f>
        <v>1053.9</v>
      </c>
      <c r="G56" s="49">
        <f t="shared" si="14"/>
        <v>-76.09999999999991</v>
      </c>
      <c r="H56" s="40">
        <f t="shared" si="15"/>
        <v>93.26548672566372</v>
      </c>
      <c r="I56" s="56">
        <f t="shared" si="18"/>
        <v>-5806.1</v>
      </c>
      <c r="J56" s="56">
        <f t="shared" si="16"/>
        <v>15.362973760932947</v>
      </c>
      <c r="K56" s="56">
        <f>F56-1019.7</f>
        <v>34.200000000000045</v>
      </c>
      <c r="L56" s="137">
        <f>F56/1019.7</f>
        <v>1.033539276257723</v>
      </c>
      <c r="M56" s="40">
        <f>E56-'січень '!E56</f>
        <v>575</v>
      </c>
      <c r="N56" s="40">
        <f>F56-'січень '!F56</f>
        <v>526.1000000000001</v>
      </c>
      <c r="O56" s="53">
        <f t="shared" si="3"/>
        <v>-48.899999999999864</v>
      </c>
      <c r="P56" s="56">
        <f t="shared" si="17"/>
        <v>91.49565217391307</v>
      </c>
      <c r="Q56" s="56">
        <f>N56-518.3</f>
        <v>7.800000000000182</v>
      </c>
      <c r="R56" s="137">
        <f>N56/518.3</f>
        <v>1.0150491993054218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f>0.15+0.57</f>
        <v>0.72</v>
      </c>
      <c r="G68" s="49">
        <f t="shared" si="14"/>
        <v>0.72</v>
      </c>
      <c r="H68" s="40"/>
      <c r="I68" s="56">
        <f t="shared" si="18"/>
        <v>0.62</v>
      </c>
      <c r="J68" s="56">
        <f t="shared" si="16"/>
        <v>719.9999999999999</v>
      </c>
      <c r="K68" s="56">
        <f>F68-0.2</f>
        <v>0.52</v>
      </c>
      <c r="L68" s="137"/>
      <c r="M68" s="40">
        <f>E68-'січень '!E68</f>
        <v>0</v>
      </c>
      <c r="N68" s="40">
        <f>F68-'січень '!F68</f>
        <v>0.57</v>
      </c>
      <c r="O68" s="53">
        <f t="shared" si="3"/>
        <v>0.57</v>
      </c>
      <c r="P68" s="56"/>
      <c r="Q68" s="56">
        <f>N68-0.1</f>
        <v>0.47</v>
      </c>
      <c r="R68" s="137">
        <f>N68/0.1</f>
        <v>5.699999999999999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2008.2450000000001</v>
      </c>
      <c r="G74" s="50">
        <f aca="true" t="shared" si="24" ref="G74:G92">F74-E74</f>
        <v>-503.8549999999998</v>
      </c>
      <c r="H74" s="51">
        <f aca="true" t="shared" si="25" ref="H74:H86">F74/E74*100</f>
        <v>79.94287647784722</v>
      </c>
      <c r="I74" s="36">
        <f aca="true" t="shared" si="26" ref="I74:I92">F74-D74</f>
        <v>-15657.354999999998</v>
      </c>
      <c r="J74" s="36">
        <f aca="true" t="shared" si="27" ref="J74:J92">F74/D74*100</f>
        <v>11.368110904809349</v>
      </c>
      <c r="K74" s="36">
        <f>F74-2710.3</f>
        <v>-702.0550000000001</v>
      </c>
      <c r="L74" s="138">
        <f>F74/2710.3</f>
        <v>0.740967789543593</v>
      </c>
      <c r="M74" s="22">
        <f>M77+M86+M88+M89+M94+M95+M96+M97+M99+M87</f>
        <v>1456</v>
      </c>
      <c r="N74" s="22">
        <f>N77+N86+N88+N89+N94+N95+N96+N97+N99+N32+N103+N87</f>
        <v>990.615</v>
      </c>
      <c r="O74" s="55">
        <f aca="true" t="shared" si="28" ref="O74:O92">N74-M74</f>
        <v>-465.385</v>
      </c>
      <c r="P74" s="36">
        <f>N74/M74*100</f>
        <v>68.03674450549451</v>
      </c>
      <c r="Q74" s="36">
        <f>N74-1790.3</f>
        <v>-799.685</v>
      </c>
      <c r="R74" s="138">
        <f>N74/1790.3</f>
        <v>0.5533234653410043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7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15.87</v>
      </c>
      <c r="G77" s="49">
        <f t="shared" si="24"/>
        <v>-285.13</v>
      </c>
      <c r="H77" s="40">
        <f t="shared" si="25"/>
        <v>5.2724252491694354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7">
        <f>F77/1273.9</f>
        <v>0.012457806735222543</v>
      </c>
      <c r="M77" s="40">
        <f>E77-'січень '!E77</f>
        <v>300</v>
      </c>
      <c r="N77" s="40">
        <f>F77-'січень '!F77</f>
        <v>15.87</v>
      </c>
      <c r="O77" s="53">
        <f t="shared" si="28"/>
        <v>-284.13</v>
      </c>
      <c r="P77" s="56">
        <f aca="true" t="shared" si="29" ref="P77:P86">N77/M77*100</f>
        <v>5.289999999999999</v>
      </c>
      <c r="Q77" s="56">
        <f>N77-1273</f>
        <v>-1257.13</v>
      </c>
      <c r="R77" s="137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7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7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7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7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7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7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7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7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4"/>
        <v>-100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8"/>
        <v>-100</v>
      </c>
      <c r="P86" s="56">
        <f t="shared" si="29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58.88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54.650000000000006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3.4</v>
      </c>
      <c r="G88" s="49">
        <f t="shared" si="24"/>
        <v>2.3</v>
      </c>
      <c r="H88" s="40">
        <f>F88/E88*100</f>
        <v>309.09090909090907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7" t="e">
        <f>F88/0*100</f>
        <v>#DIV/0!</v>
      </c>
      <c r="M88" s="40">
        <f>E88-'січень '!E88</f>
        <v>1</v>
      </c>
      <c r="N88" s="40">
        <f>F88-'січень '!F88</f>
        <v>3.4</v>
      </c>
      <c r="O88" s="53">
        <f t="shared" si="28"/>
        <v>2.4</v>
      </c>
      <c r="P88" s="56">
        <f>N88/M88*100</f>
        <v>340</v>
      </c>
      <c r="Q88" s="56">
        <f>N88-0</f>
        <v>3.4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f>16.96+0.39+0.12</f>
        <v>17.470000000000002</v>
      </c>
      <c r="G89" s="49">
        <f t="shared" si="24"/>
        <v>-2.5299999999999976</v>
      </c>
      <c r="H89" s="40">
        <f>F89/E89*100</f>
        <v>87.35000000000002</v>
      </c>
      <c r="I89" s="56">
        <f t="shared" si="26"/>
        <v>-157.53</v>
      </c>
      <c r="J89" s="56">
        <f t="shared" si="27"/>
        <v>9.982857142857144</v>
      </c>
      <c r="K89" s="56">
        <f>F89-31.6</f>
        <v>-14.129999999999999</v>
      </c>
      <c r="L89" s="137">
        <f>F89/31.6</f>
        <v>0.5528481012658228</v>
      </c>
      <c r="M89" s="40">
        <f>E89-'січень '!E89</f>
        <v>10</v>
      </c>
      <c r="N89" s="40">
        <f>F89-'січень '!F89</f>
        <v>8.450000000000003</v>
      </c>
      <c r="O89" s="53">
        <f t="shared" si="28"/>
        <v>-1.5499999999999972</v>
      </c>
      <c r="P89" s="56">
        <f>N89/M89*100</f>
        <v>84.50000000000003</v>
      </c>
      <c r="Q89" s="56">
        <f>N89-19.8</f>
        <v>-11.349999999999998</v>
      </c>
      <c r="R89" s="137">
        <f>N89/19.8</f>
        <v>0.4267676767676769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7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7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7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7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f>1147.01+4.88+20</f>
        <v>1171.89</v>
      </c>
      <c r="G95" s="49">
        <f t="shared" si="31"/>
        <v>-88.1099999999999</v>
      </c>
      <c r="H95" s="40">
        <f>F95/E95*100</f>
        <v>93.00714285714287</v>
      </c>
      <c r="I95" s="56">
        <f t="shared" si="32"/>
        <v>-5128.11</v>
      </c>
      <c r="J95" s="56">
        <f>F95/D95*100</f>
        <v>18.601428571428574</v>
      </c>
      <c r="K95" s="56">
        <f>F95-825</f>
        <v>346.8900000000001</v>
      </c>
      <c r="L95" s="137">
        <f>F95/825</f>
        <v>1.4204727272727273</v>
      </c>
      <c r="M95" s="40">
        <f>E95-'січень '!E95</f>
        <v>630</v>
      </c>
      <c r="N95" s="40">
        <f>F95-'січень '!F95</f>
        <v>524.4000000000001</v>
      </c>
      <c r="O95" s="53">
        <f t="shared" si="33"/>
        <v>-105.59999999999991</v>
      </c>
      <c r="P95" s="56">
        <f>N95/M95*100</f>
        <v>83.23809523809526</v>
      </c>
      <c r="Q95" s="56">
        <f>N95-186.8</f>
        <v>337.6000000000001</v>
      </c>
      <c r="R95" s="137">
        <f>N95/186.8</f>
        <v>2.80728051391863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f>107.9+1.06+6.07+2.71</f>
        <v>117.74</v>
      </c>
      <c r="G96" s="49">
        <f t="shared" si="31"/>
        <v>-52.260000000000005</v>
      </c>
      <c r="H96" s="40">
        <f>F96/E96*100</f>
        <v>69.25882352941176</v>
      </c>
      <c r="I96" s="56">
        <f t="shared" si="32"/>
        <v>-1082.26</v>
      </c>
      <c r="J96" s="56">
        <f>F96/D96*100</f>
        <v>9.811666666666666</v>
      </c>
      <c r="K96" s="56">
        <f>F96-60</f>
        <v>57.739999999999995</v>
      </c>
      <c r="L96" s="137">
        <f>F96/60</f>
        <v>1.9623333333333333</v>
      </c>
      <c r="M96" s="40">
        <f>E96-'січень '!E96</f>
        <v>85</v>
      </c>
      <c r="N96" s="40">
        <f>F96-'січень '!F96</f>
        <v>38.22999999999999</v>
      </c>
      <c r="O96" s="53">
        <f t="shared" si="33"/>
        <v>-46.77000000000001</v>
      </c>
      <c r="P96" s="56">
        <f>N96/M96*100</f>
        <v>44.97647058823529</v>
      </c>
      <c r="Q96" s="56">
        <f>N96-42.8</f>
        <v>-4.570000000000007</v>
      </c>
      <c r="R96" s="137">
        <f>N96/42.8</f>
        <v>0.8932242990654203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7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f>544.91+4.31+73.73+0.045</f>
        <v>622.9949999999999</v>
      </c>
      <c r="G99" s="49">
        <f t="shared" si="31"/>
        <v>-37.00500000000011</v>
      </c>
      <c r="H99" s="40">
        <f>F99/E99*100</f>
        <v>94.3931818181818</v>
      </c>
      <c r="I99" s="56">
        <f t="shared" si="32"/>
        <v>-3257.005</v>
      </c>
      <c r="J99" s="56">
        <f>F99/D99*100</f>
        <v>16.056572164948452</v>
      </c>
      <c r="K99" s="56">
        <f>F99-488.6</f>
        <v>134.39499999999987</v>
      </c>
      <c r="L99" s="137">
        <f>F99/488.6</f>
        <v>1.275061399918133</v>
      </c>
      <c r="M99" s="40">
        <f>E99-'січень '!E99</f>
        <v>330</v>
      </c>
      <c r="N99" s="40">
        <f>F99-'січень '!F99</f>
        <v>345.6149999999999</v>
      </c>
      <c r="O99" s="53">
        <f t="shared" si="33"/>
        <v>15.614999999999895</v>
      </c>
      <c r="P99" s="56">
        <f>N99/M99*100</f>
        <v>104.73181818181816</v>
      </c>
      <c r="Q99" s="56">
        <f>N99-252.2</f>
        <v>93.4149999999999</v>
      </c>
      <c r="R99" s="137">
        <f>N99/252.2</f>
        <v>1.3704004758128465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7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8">
        <v>124.3</v>
      </c>
      <c r="G102" s="146"/>
      <c r="H102" s="148"/>
      <c r="I102" s="147"/>
      <c r="J102" s="147"/>
      <c r="K102" s="150">
        <f>F102-54.4</f>
        <v>69.9</v>
      </c>
      <c r="L102" s="151">
        <f>F102/54.4</f>
        <v>2.2849264705882355</v>
      </c>
      <c r="M102" s="148">
        <f>E102-'січень '!E102</f>
        <v>0</v>
      </c>
      <c r="N102" s="148">
        <f>F102-'січень '!F102</f>
        <v>59.599999999999994</v>
      </c>
      <c r="O102" s="53"/>
      <c r="P102" s="60"/>
      <c r="Q102" s="60">
        <f>N102-26.6</f>
        <v>32.99999999999999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f>2.68+0.009</f>
        <v>2.689</v>
      </c>
      <c r="G104" s="49">
        <f>F104-E104</f>
        <v>0.6890000000000001</v>
      </c>
      <c r="H104" s="40"/>
      <c r="I104" s="56">
        <f t="shared" si="34"/>
        <v>-42.311</v>
      </c>
      <c r="J104" s="56">
        <f aca="true" t="shared" si="36" ref="J104:J109">F104/D104*100</f>
        <v>5.975555555555555</v>
      </c>
      <c r="K104" s="56">
        <f>F104-10.6</f>
        <v>-7.911</v>
      </c>
      <c r="L104" s="137">
        <f>F104/10.6</f>
        <v>0.2536792452830189</v>
      </c>
      <c r="M104" s="40">
        <f>E104-'січень '!E104</f>
        <v>1</v>
      </c>
      <c r="N104" s="40">
        <f>F104-'січень '!F104</f>
        <v>0.4790000000000001</v>
      </c>
      <c r="O104" s="53">
        <f t="shared" si="35"/>
        <v>-0.5209999999999999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5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57747.314000000006</v>
      </c>
      <c r="G106" s="50">
        <f>F106-E106</f>
        <v>-14796.786</v>
      </c>
      <c r="H106" s="51">
        <f>F106/E106*100</f>
        <v>79.60304697418536</v>
      </c>
      <c r="I106" s="36">
        <f t="shared" si="34"/>
        <v>-479292.586</v>
      </c>
      <c r="J106" s="36">
        <f t="shared" si="36"/>
        <v>10.752890800106286</v>
      </c>
      <c r="K106" s="36">
        <f>F106-75300.9</f>
        <v>-17553.58599999999</v>
      </c>
      <c r="L106" s="138">
        <f>F106/75300.9</f>
        <v>0.7668874342803341</v>
      </c>
      <c r="M106" s="22">
        <f>M8+M74+M104+M105</f>
        <v>37282</v>
      </c>
      <c r="N106" s="22">
        <f>N8+N74+N104+N105</f>
        <v>22979.314</v>
      </c>
      <c r="O106" s="55">
        <f t="shared" si="35"/>
        <v>-14302.686000000002</v>
      </c>
      <c r="P106" s="36">
        <f>N106/M106*100</f>
        <v>61.63648409420095</v>
      </c>
      <c r="Q106" s="36">
        <f>N106-40779.2</f>
        <v>-17799.886</v>
      </c>
      <c r="R106" s="138">
        <f>N106/40779.2</f>
        <v>0.5635057578373288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46265.939999999995</v>
      </c>
      <c r="G107" s="71">
        <f>G10-G18+G96</f>
        <v>-9804.060000000003</v>
      </c>
      <c r="H107" s="72">
        <f>F107/E107*100</f>
        <v>82.51460674157303</v>
      </c>
      <c r="I107" s="52">
        <f t="shared" si="34"/>
        <v>-373300.26</v>
      </c>
      <c r="J107" s="52">
        <f t="shared" si="36"/>
        <v>11.027089408060037</v>
      </c>
      <c r="K107" s="52">
        <f>F107-55213.7</f>
        <v>-8947.760000000002</v>
      </c>
      <c r="L107" s="139">
        <f>F107/55213.7</f>
        <v>0.8379431191896214</v>
      </c>
      <c r="M107" s="71">
        <f>M10-M18+M96</f>
        <v>28835</v>
      </c>
      <c r="N107" s="71">
        <f>N10-N18+N96</f>
        <v>19618.319999999996</v>
      </c>
      <c r="O107" s="53">
        <f t="shared" si="35"/>
        <v>-9216.680000000004</v>
      </c>
      <c r="P107" s="52">
        <f>N107/M107*100</f>
        <v>68.03648344026355</v>
      </c>
      <c r="Q107" s="52">
        <f>N107-28449</f>
        <v>-8830.680000000004</v>
      </c>
      <c r="R107" s="139">
        <f>N107/28449</f>
        <v>0.6895961193715068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11481.37400000001</v>
      </c>
      <c r="G108" s="62">
        <f>F108-E108</f>
        <v>-4992.725999999995</v>
      </c>
      <c r="H108" s="72">
        <f>F108/E108*100</f>
        <v>69.69348249676769</v>
      </c>
      <c r="I108" s="52">
        <f t="shared" si="34"/>
        <v>-105992.326</v>
      </c>
      <c r="J108" s="52">
        <f t="shared" si="36"/>
        <v>9.77356974369583</v>
      </c>
      <c r="K108" s="52">
        <f>F108-20087.2</f>
        <v>-8605.82599999999</v>
      </c>
      <c r="L108" s="139">
        <f>F108/20087.2</f>
        <v>0.5715766259110284</v>
      </c>
      <c r="M108" s="71">
        <f>M106-M107</f>
        <v>8447</v>
      </c>
      <c r="N108" s="71">
        <f>N106-N107</f>
        <v>3360.9940000000024</v>
      </c>
      <c r="O108" s="53">
        <f t="shared" si="35"/>
        <v>-5086.005999999998</v>
      </c>
      <c r="P108" s="52">
        <f>N108/M108*100</f>
        <v>39.789203267432256</v>
      </c>
      <c r="Q108" s="52">
        <f>N108-12330.3</f>
        <v>-8969.305999999997</v>
      </c>
      <c r="R108" s="139">
        <f>N108/12330.3</f>
        <v>0.272580066989449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46265.939999999995</v>
      </c>
      <c r="G109" s="111">
        <f>F109-E109</f>
        <v>-13748.760000000002</v>
      </c>
      <c r="H109" s="72">
        <f>F109/E109*100</f>
        <v>77.09101270188803</v>
      </c>
      <c r="I109" s="81">
        <f t="shared" si="34"/>
        <v>-373300.26</v>
      </c>
      <c r="J109" s="52">
        <f t="shared" si="36"/>
        <v>11.027089408060037</v>
      </c>
      <c r="K109" s="52"/>
      <c r="L109" s="139"/>
      <c r="M109" s="122">
        <f>E109-'січень '!E109</f>
        <v>31301.299999999996</v>
      </c>
      <c r="N109" s="71">
        <f>N107</f>
        <v>19618.319999999996</v>
      </c>
      <c r="O109" s="118">
        <f t="shared" si="35"/>
        <v>-11682.98</v>
      </c>
      <c r="P109" s="52">
        <f>N109/M109*100</f>
        <v>62.67573551258254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2806.666</v>
      </c>
      <c r="G110" s="62">
        <f>F110-E110</f>
        <v>-412.7449999999999</v>
      </c>
      <c r="H110" s="72"/>
      <c r="I110" s="85">
        <f t="shared" si="34"/>
        <v>-2063.714</v>
      </c>
      <c r="J110" s="52"/>
      <c r="K110" s="52"/>
      <c r="L110" s="139"/>
      <c r="M110" s="40">
        <f>E110-'січень '!E110</f>
        <v>1650.981</v>
      </c>
      <c r="N110" s="71">
        <f>F110-'січень '!F110</f>
        <v>1238.2350000000001</v>
      </c>
      <c r="O110" s="86"/>
      <c r="P110" s="52">
        <f>N110/M110*100</f>
        <v>74.9999545724633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40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f>127.2+1.097+40.38+3.46</f>
        <v>172.137</v>
      </c>
      <c r="G114" s="49">
        <f t="shared" si="37"/>
        <v>-953.913</v>
      </c>
      <c r="H114" s="40">
        <f aca="true" t="shared" si="39" ref="H114:H125">F114/E114*100</f>
        <v>15.286798987611563</v>
      </c>
      <c r="I114" s="60">
        <f t="shared" si="38"/>
        <v>-3499.363</v>
      </c>
      <c r="J114" s="60">
        <f aca="true" t="shared" si="40" ref="J114:J120">F114/D114*100</f>
        <v>4.688465204957102</v>
      </c>
      <c r="K114" s="60">
        <f>F114-605.5</f>
        <v>-433.363</v>
      </c>
      <c r="L114" s="140">
        <f>F114/605.5</f>
        <v>0.28428901734104045</v>
      </c>
      <c r="M114" s="40">
        <f>E114-'січень '!E114</f>
        <v>563.02</v>
      </c>
      <c r="N114" s="40">
        <f>F114-'січень '!F114</f>
        <v>103.997</v>
      </c>
      <c r="O114" s="53">
        <f aca="true" t="shared" si="41" ref="O114:O125">N114-M114</f>
        <v>-459.02299999999997</v>
      </c>
      <c r="P114" s="60">
        <f>N114/M114*100</f>
        <v>18.47127988348549</v>
      </c>
      <c r="Q114" s="60">
        <f>N114-358.7</f>
        <v>-254.70299999999997</v>
      </c>
      <c r="R114" s="140">
        <f>N114/358.7</f>
        <v>0.28992751603010875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46.69</v>
      </c>
      <c r="G115" s="49">
        <f t="shared" si="37"/>
        <v>-3.3100000000000023</v>
      </c>
      <c r="H115" s="40">
        <f t="shared" si="39"/>
        <v>93.38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40">
        <f>F115/39.4</f>
        <v>1.1850253807106599</v>
      </c>
      <c r="M115" s="40">
        <f>E115-'січень '!E115</f>
        <v>25</v>
      </c>
      <c r="N115" s="40">
        <f>F115-'січень '!F115</f>
        <v>22.159999999999997</v>
      </c>
      <c r="O115" s="53">
        <f t="shared" si="41"/>
        <v>-2.8400000000000034</v>
      </c>
      <c r="P115" s="60">
        <f>N115/M115*100</f>
        <v>88.63999999999999</v>
      </c>
      <c r="Q115" s="60">
        <f>N115-16.9</f>
        <v>5.259999999999998</v>
      </c>
      <c r="R115" s="140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216.21699999999998</v>
      </c>
      <c r="G116" s="62">
        <f t="shared" si="37"/>
        <v>-959.833</v>
      </c>
      <c r="H116" s="72">
        <f t="shared" si="39"/>
        <v>18.38501764380766</v>
      </c>
      <c r="I116" s="61">
        <f t="shared" si="38"/>
        <v>-3723.383</v>
      </c>
      <c r="J116" s="61">
        <f t="shared" si="40"/>
        <v>5.488298304396385</v>
      </c>
      <c r="K116" s="61">
        <f>F116-648.9</f>
        <v>-432.683</v>
      </c>
      <c r="L116" s="141">
        <f>F116/648.9</f>
        <v>0.33320542456464786</v>
      </c>
      <c r="M116" s="62">
        <f>M114+M115+M113</f>
        <v>588.02</v>
      </c>
      <c r="N116" s="38">
        <f>SUM(N113:N115)</f>
        <v>123.36699999999999</v>
      </c>
      <c r="O116" s="61">
        <f t="shared" si="41"/>
        <v>-464.653</v>
      </c>
      <c r="P116" s="61">
        <f>N116/M116*100</f>
        <v>20.98006870514608</v>
      </c>
      <c r="Q116" s="61">
        <f>N116-378.9</f>
        <v>-255.533</v>
      </c>
      <c r="R116" s="141">
        <f>N116/378.9</f>
        <v>0.32559250461863287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40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f>55.63+0.197</f>
        <v>55.827000000000005</v>
      </c>
      <c r="G118" s="49">
        <f t="shared" si="37"/>
        <v>55.827000000000005</v>
      </c>
      <c r="H118" s="40" t="e">
        <f t="shared" si="39"/>
        <v>#DIV/0!</v>
      </c>
      <c r="I118" s="60">
        <f t="shared" si="38"/>
        <v>55.827000000000005</v>
      </c>
      <c r="J118" s="60" t="e">
        <f t="shared" si="40"/>
        <v>#DIV/0!</v>
      </c>
      <c r="K118" s="60">
        <f>F118-5.2</f>
        <v>50.627</v>
      </c>
      <c r="L118" s="140">
        <f>F118/5.2</f>
        <v>10.73596153846154</v>
      </c>
      <c r="M118" s="40">
        <f>E118-'січень '!E118</f>
        <v>0</v>
      </c>
      <c r="N118" s="40">
        <f>F118-'січень '!F118</f>
        <v>1.507000000000005</v>
      </c>
      <c r="O118" s="53" t="s">
        <v>166</v>
      </c>
      <c r="P118" s="60"/>
      <c r="Q118" s="60">
        <f>N118-5</f>
        <v>-3.492999999999995</v>
      </c>
      <c r="R118" s="140">
        <f>N118/5</f>
        <v>0.301400000000001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f>14510.3+1457.83+548.24+91.86</f>
        <v>16608.23</v>
      </c>
      <c r="G119" s="49">
        <f t="shared" si="37"/>
        <v>16608.23</v>
      </c>
      <c r="H119" s="40" t="e">
        <f t="shared" si="39"/>
        <v>#DIV/0!</v>
      </c>
      <c r="I119" s="53">
        <f t="shared" si="38"/>
        <v>-9379.154999999999</v>
      </c>
      <c r="J119" s="60">
        <f t="shared" si="40"/>
        <v>63.90881575810725</v>
      </c>
      <c r="K119" s="60">
        <f>F119-14451.2</f>
        <v>2157.029999999999</v>
      </c>
      <c r="L119" s="140">
        <f>F119/14451.2</f>
        <v>1.149263036979628</v>
      </c>
      <c r="M119" s="40">
        <f>E119-'січень '!E119</f>
        <v>0</v>
      </c>
      <c r="N119" s="40">
        <f>F119-'січень '!F119</f>
        <v>9128.369999999999</v>
      </c>
      <c r="O119" s="53">
        <f t="shared" si="41"/>
        <v>9128.369999999999</v>
      </c>
      <c r="P119" s="60" t="e">
        <f aca="true" t="shared" si="42" ref="P119:P124">N119/M119*100</f>
        <v>#DIV/0!</v>
      </c>
      <c r="Q119" s="60">
        <f>N119-8093.7</f>
        <v>1034.6699999999992</v>
      </c>
      <c r="R119" s="140">
        <f>N119/8093.7</f>
        <v>1.127836465399014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f>66.75+226.73+182.42</f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40">
        <f>F120/230.3*100</f>
        <v>206.64350846721663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40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f>649.2+2.54+2.125+1.2</f>
        <v>655.065</v>
      </c>
      <c r="G121" s="49">
        <f t="shared" si="37"/>
        <v>655.065</v>
      </c>
      <c r="H121" s="40" t="e">
        <f t="shared" si="39"/>
        <v>#DIV/0!</v>
      </c>
      <c r="I121" s="60">
        <f t="shared" si="38"/>
        <v>655.065</v>
      </c>
      <c r="J121" s="60" t="e">
        <f>F121/D121*100</f>
        <v>#DIV/0!</v>
      </c>
      <c r="K121" s="60">
        <f>F121-238.5</f>
        <v>416.56500000000005</v>
      </c>
      <c r="L121" s="140">
        <f>F121/280.4</f>
        <v>2.336180456490728</v>
      </c>
      <c r="M121" s="40">
        <f>E121-'січень '!E121</f>
        <v>0</v>
      </c>
      <c r="N121" s="40">
        <f>F121-'січень '!F121</f>
        <v>205.05500000000006</v>
      </c>
      <c r="O121" s="53">
        <f t="shared" si="41"/>
        <v>205.05500000000006</v>
      </c>
      <c r="P121" s="60" t="e">
        <f t="shared" si="42"/>
        <v>#DIV/0!</v>
      </c>
      <c r="Q121" s="60">
        <f>N121-50.2</f>
        <v>154.85500000000008</v>
      </c>
      <c r="R121" s="140">
        <f>N121/50.2</f>
        <v>4.0847609561753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45.1</v>
      </c>
      <c r="G122" s="49">
        <f t="shared" si="37"/>
        <v>45.1</v>
      </c>
      <c r="H122" s="40" t="e">
        <f t="shared" si="39"/>
        <v>#DIV/0!</v>
      </c>
      <c r="I122" s="60">
        <f t="shared" si="38"/>
        <v>45.1</v>
      </c>
      <c r="J122" s="60" t="e">
        <f>F122/D122*100</f>
        <v>#DIV/0!</v>
      </c>
      <c r="K122" s="60">
        <f>F122-306.8</f>
        <v>-261.7</v>
      </c>
      <c r="L122" s="140">
        <f>F122/306.8</f>
        <v>0.1470013037809648</v>
      </c>
      <c r="M122" s="40">
        <f>E122-'січень '!E122</f>
        <v>0</v>
      </c>
      <c r="N122" s="40">
        <f>F122-'січень '!F122</f>
        <v>44.050000000000004</v>
      </c>
      <c r="O122" s="53">
        <f t="shared" si="41"/>
        <v>44.050000000000004</v>
      </c>
      <c r="P122" s="60" t="e">
        <f t="shared" si="42"/>
        <v>#DIV/0!</v>
      </c>
      <c r="Q122" s="60">
        <f>N122-292.3</f>
        <v>-248.25</v>
      </c>
      <c r="R122" s="140">
        <f>N122/292.3</f>
        <v>0.15070133424563806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17840.122</v>
      </c>
      <c r="G123" s="62">
        <f t="shared" si="37"/>
        <v>17840.122</v>
      </c>
      <c r="H123" s="72" t="e">
        <f t="shared" si="39"/>
        <v>#DIV/0!</v>
      </c>
      <c r="I123" s="61">
        <f t="shared" si="38"/>
        <v>-8147.262999999999</v>
      </c>
      <c r="J123" s="61">
        <f>F123/D123*100</f>
        <v>68.6491618914331</v>
      </c>
      <c r="K123" s="61">
        <f>F123-15573.7</f>
        <v>2266.4219999999987</v>
      </c>
      <c r="L123" s="141">
        <f>F123/15573.7</f>
        <v>1.1455288081830264</v>
      </c>
      <c r="M123" s="62">
        <f>M119+M120+M121+M122+M118</f>
        <v>0</v>
      </c>
      <c r="N123" s="62">
        <f>N119+N120+N121+N122+N118</f>
        <v>9854.841999999999</v>
      </c>
      <c r="O123" s="61">
        <f t="shared" si="41"/>
        <v>9854.841999999999</v>
      </c>
      <c r="P123" s="61" t="e">
        <f t="shared" si="42"/>
        <v>#DIV/0!</v>
      </c>
      <c r="Q123" s="61">
        <f>N123-8732.6</f>
        <v>1122.2419999999984</v>
      </c>
      <c r="R123" s="141">
        <f>N123/8732.6</f>
        <v>1.1285117834321965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7"/>
        <v>0.16</v>
      </c>
      <c r="H124" s="40" t="e">
        <f t="shared" si="39"/>
        <v>#DIV/0!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1"/>
        <v>0</v>
      </c>
      <c r="P124" s="60" t="e">
        <f t="shared" si="42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f>117.11+3366.86+0.296+0.13</f>
        <v>3484.396</v>
      </c>
      <c r="G127" s="49">
        <f aca="true" t="shared" si="43" ref="G127:G134">F127-E127</f>
        <v>2024.2060000000001</v>
      </c>
      <c r="H127" s="40">
        <f>F127/E127*100</f>
        <v>238.62620617864798</v>
      </c>
      <c r="I127" s="60">
        <f aca="true" t="shared" si="44" ref="I127:I134">F127-D127</f>
        <v>-5215.603999999999</v>
      </c>
      <c r="J127" s="60">
        <f>F127/D127*100</f>
        <v>40.050528735632184</v>
      </c>
      <c r="K127" s="60">
        <f>F127-2439.3</f>
        <v>1045.096</v>
      </c>
      <c r="L127" s="140">
        <f>F127/2439.3</f>
        <v>1.4284409461730825</v>
      </c>
      <c r="M127" s="40">
        <f>E127-'січень '!E127</f>
        <v>730.09</v>
      </c>
      <c r="N127" s="40">
        <f>F127-'січень '!F127</f>
        <v>3466.726</v>
      </c>
      <c r="O127" s="53">
        <f aca="true" t="shared" si="45" ref="O127:O134">N127-M127</f>
        <v>2736.636</v>
      </c>
      <c r="P127" s="60">
        <f>N127/M127*100</f>
        <v>474.83543124820227</v>
      </c>
      <c r="Q127" s="60">
        <f>N127-2355</f>
        <v>1111.726</v>
      </c>
      <c r="R127" s="140">
        <f>N127/2355</f>
        <v>1.4720704883227176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3"/>
        <v>-0.16</v>
      </c>
      <c r="H128" s="40"/>
      <c r="I128" s="60">
        <f t="shared" si="44"/>
        <v>-0.16</v>
      </c>
      <c r="J128" s="60"/>
      <c r="K128" s="60">
        <f>F128-0.3</f>
        <v>-0.45999999999999996</v>
      </c>
      <c r="L128" s="140">
        <f>F128/0.3</f>
        <v>-0.5333333333333333</v>
      </c>
      <c r="M128" s="40">
        <f>E128-'січень '!E128</f>
        <v>0</v>
      </c>
      <c r="N128" s="40">
        <f>F128-'січень '!F128</f>
        <v>0.04999999999999999</v>
      </c>
      <c r="O128" s="53">
        <f t="shared" si="45"/>
        <v>0.04999999999999999</v>
      </c>
      <c r="P128" s="60"/>
      <c r="Q128" s="60">
        <f>N128-0.1</f>
        <v>-0.05000000000000002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3493.1560000000004</v>
      </c>
      <c r="G129" s="62">
        <f t="shared" si="43"/>
        <v>2032.9660000000003</v>
      </c>
      <c r="H129" s="72">
        <f>F129/E129*100</f>
        <v>239.22612810661627</v>
      </c>
      <c r="I129" s="61">
        <f t="shared" si="44"/>
        <v>-5257.544</v>
      </c>
      <c r="J129" s="61">
        <f>F129/D129*100</f>
        <v>39.918589369993256</v>
      </c>
      <c r="K129" s="61">
        <f>F129-2474.4</f>
        <v>1018.7560000000003</v>
      </c>
      <c r="L129" s="141">
        <f>G129/2474.4</f>
        <v>0.8215995796960881</v>
      </c>
      <c r="M129" s="62">
        <f>M124+M127+M128+M126</f>
        <v>730.09</v>
      </c>
      <c r="N129" s="62">
        <f>N124+N127+N128+N126</f>
        <v>3466.7760000000003</v>
      </c>
      <c r="O129" s="61">
        <f t="shared" si="45"/>
        <v>2736.686</v>
      </c>
      <c r="P129" s="61">
        <f>N129/M129*100</f>
        <v>474.8422797189388</v>
      </c>
      <c r="Q129" s="61">
        <f>N129-2389.7</f>
        <v>1077.0760000000005</v>
      </c>
      <c r="R129" s="139">
        <f>N129/2389.7</f>
        <v>1.4507159894547434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3"/>
        <v>-18.48</v>
      </c>
      <c r="H132" s="40">
        <f>F132/E132*100</f>
        <v>0</v>
      </c>
      <c r="I132" s="60">
        <f t="shared" si="44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5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21549.945</v>
      </c>
      <c r="G133" s="50">
        <f t="shared" si="43"/>
        <v>18291.225</v>
      </c>
      <c r="H133" s="51">
        <f>F133/E133*100</f>
        <v>661.3009095595818</v>
      </c>
      <c r="I133" s="36">
        <f t="shared" si="44"/>
        <v>-17157.739999999998</v>
      </c>
      <c r="J133" s="36">
        <f>F133/D133*100</f>
        <v>55.67355681436387</v>
      </c>
      <c r="K133" s="36">
        <f>F133-18698.1</f>
        <v>2851.845000000001</v>
      </c>
      <c r="L133" s="138">
        <f>F133/18698.1</f>
        <v>1.152520576957017</v>
      </c>
      <c r="M133" s="31">
        <f>M116+M130+M123+M129+M132+M131</f>
        <v>1629.3500000000001</v>
      </c>
      <c r="N133" s="31">
        <f>N116+N130+N123+N129+N132+N131</f>
        <v>13444.984999999999</v>
      </c>
      <c r="O133" s="36">
        <f t="shared" si="45"/>
        <v>11815.634999999998</v>
      </c>
      <c r="P133" s="36">
        <f>N133/M133*100</f>
        <v>825.1747629422775</v>
      </c>
      <c r="Q133" s="36">
        <f>N133-11501.6</f>
        <v>1943.3849999999984</v>
      </c>
      <c r="R133" s="138">
        <f>N133/11501.6</f>
        <v>1.1689664916185574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79297.259</v>
      </c>
      <c r="G134" s="50">
        <f t="shared" si="43"/>
        <v>3494.4389999999985</v>
      </c>
      <c r="H134" s="51">
        <f>F134/E134*100</f>
        <v>104.6099063333</v>
      </c>
      <c r="I134" s="36">
        <f t="shared" si="44"/>
        <v>-496450.32599999994</v>
      </c>
      <c r="J134" s="36">
        <f>F134/D134*100</f>
        <v>13.772920819112077</v>
      </c>
      <c r="K134" s="36">
        <f>F134-93999</f>
        <v>-14701.740999999995</v>
      </c>
      <c r="L134" s="138">
        <f>F134/93999</f>
        <v>0.8435968361365547</v>
      </c>
      <c r="M134" s="22">
        <f>M106+M133</f>
        <v>38911.35</v>
      </c>
      <c r="N134" s="22">
        <f>N106+N133</f>
        <v>36424.299</v>
      </c>
      <c r="O134" s="36">
        <f t="shared" si="45"/>
        <v>-2487.0509999999995</v>
      </c>
      <c r="P134" s="36">
        <f>N134/M134*100</f>
        <v>93.60841759538026</v>
      </c>
      <c r="Q134" s="36">
        <f>N134-52280.8</f>
        <v>-15856.501000000004</v>
      </c>
      <c r="R134" s="138">
        <f>N134/52280.8</f>
        <v>0.6967050810240087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5</v>
      </c>
      <c r="D136" s="4" t="s">
        <v>118</v>
      </c>
    </row>
    <row r="137" spans="2:17" ht="31.5">
      <c r="B137" s="78" t="s">
        <v>154</v>
      </c>
      <c r="C137" s="39">
        <f>IF(O106&lt;0,ABS(O106/C136),0)</f>
        <v>2860.5372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41691</v>
      </c>
      <c r="D138" s="39">
        <v>2664.8</v>
      </c>
      <c r="N138" s="152"/>
      <c r="O138" s="152"/>
    </row>
    <row r="139" spans="3:15" ht="15.75">
      <c r="C139" s="120">
        <v>41690</v>
      </c>
      <c r="D139" s="39">
        <v>3261.4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41689</v>
      </c>
      <c r="D140" s="39">
        <v>2008.9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121265.45515000001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107440.23319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56" sqref="F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79" t="s">
        <v>186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181</v>
      </c>
      <c r="N3" s="172" t="s">
        <v>180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175</v>
      </c>
      <c r="H4" s="177" t="s">
        <v>176</v>
      </c>
      <c r="I4" s="170" t="s">
        <v>177</v>
      </c>
      <c r="J4" s="166" t="s">
        <v>178</v>
      </c>
      <c r="K4" s="125" t="s">
        <v>174</v>
      </c>
      <c r="L4" s="132" t="s">
        <v>173</v>
      </c>
      <c r="M4" s="189"/>
      <c r="N4" s="168" t="s">
        <v>189</v>
      </c>
      <c r="O4" s="170" t="s">
        <v>136</v>
      </c>
      <c r="P4" s="172" t="s">
        <v>135</v>
      </c>
      <c r="Q4" s="133" t="s">
        <v>174</v>
      </c>
      <c r="R4" s="134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179</v>
      </c>
      <c r="L5" s="164"/>
      <c r="M5" s="189"/>
      <c r="N5" s="169"/>
      <c r="O5" s="171"/>
      <c r="P5" s="172"/>
      <c r="Q5" s="153" t="s">
        <v>182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45">
        <v>11010232</v>
      </c>
      <c r="D29" s="41"/>
      <c r="E29" s="41"/>
      <c r="F29" s="148">
        <v>358.79</v>
      </c>
      <c r="G29" s="49"/>
      <c r="H29" s="40"/>
      <c r="I29" s="56"/>
      <c r="J29" s="56"/>
      <c r="K29" s="147">
        <f>F29-160.03</f>
        <v>198.76000000000002</v>
      </c>
      <c r="L29" s="14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56">
        <f aca="true" t="shared" si="20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46">
        <v>28580</v>
      </c>
      <c r="E55" s="146">
        <v>4750</v>
      </c>
      <c r="F55" s="148">
        <v>4687.91</v>
      </c>
      <c r="G55" s="146">
        <f t="shared" si="14"/>
        <v>-62.090000000000146</v>
      </c>
      <c r="H55" s="148">
        <f t="shared" si="15"/>
        <v>98.69284210526315</v>
      </c>
      <c r="I55" s="147">
        <f t="shared" si="18"/>
        <v>-23892.09</v>
      </c>
      <c r="J55" s="147">
        <f t="shared" si="16"/>
        <v>16.402764170748775</v>
      </c>
      <c r="K55" s="147">
        <f>F55-4574.19</f>
        <v>113.72000000000025</v>
      </c>
      <c r="L55" s="14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 aca="true" t="shared" si="27" ref="L57:L67"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 t="shared" si="27"/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 t="shared" si="27"/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 t="shared" si="27"/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 t="shared" si="27"/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 t="shared" si="27"/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 t="shared" si="27"/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 t="shared" si="27"/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 t="shared" si="27"/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 t="shared" si="27"/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 t="shared" si="27"/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8" ref="G74:G92">F74-E74</f>
        <v>-38.469999999999914</v>
      </c>
      <c r="H74" s="51">
        <f aca="true" t="shared" si="29" ref="H74:H86">F74/E74*100</f>
        <v>96.3573525234353</v>
      </c>
      <c r="I74" s="36">
        <f aca="true" t="shared" si="30" ref="I74:I92">F74-D74</f>
        <v>-6688.47</v>
      </c>
      <c r="J74" s="36">
        <f aca="true" t="shared" si="31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2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8"/>
        <v>#REF!</v>
      </c>
      <c r="H75" s="40" t="e">
        <f t="shared" si="29"/>
        <v>#REF!</v>
      </c>
      <c r="I75" s="56" t="e">
        <f t="shared" si="30"/>
        <v>#REF!</v>
      </c>
      <c r="J75" s="56" t="e">
        <f t="shared" si="31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2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8"/>
        <v>0</v>
      </c>
      <c r="H76" s="40" t="e">
        <f t="shared" si="29"/>
        <v>#DIV/0!</v>
      </c>
      <c r="I76" s="56" t="e">
        <f t="shared" si="30"/>
        <v>#REF!</v>
      </c>
      <c r="J76" s="56" t="e">
        <f t="shared" si="31"/>
        <v>#REF!</v>
      </c>
      <c r="K76" s="56"/>
      <c r="L76" s="56"/>
      <c r="M76" s="59"/>
      <c r="N76" s="59"/>
      <c r="O76" s="53">
        <f t="shared" si="32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8"/>
        <v>-1</v>
      </c>
      <c r="H77" s="40">
        <f t="shared" si="29"/>
        <v>0</v>
      </c>
      <c r="I77" s="56">
        <f t="shared" si="30"/>
        <v>-671</v>
      </c>
      <c r="J77" s="56">
        <f t="shared" si="31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2"/>
        <v>-1</v>
      </c>
      <c r="P77" s="56">
        <f aca="true" t="shared" si="33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8"/>
        <v>0</v>
      </c>
      <c r="H78" s="40" t="e">
        <f t="shared" si="29"/>
        <v>#DIV/0!</v>
      </c>
      <c r="I78" s="56">
        <f t="shared" si="30"/>
        <v>0</v>
      </c>
      <c r="J78" s="56" t="e">
        <f t="shared" si="31"/>
        <v>#DIV/0!</v>
      </c>
      <c r="K78" s="56"/>
      <c r="L78" s="56">
        <f aca="true" t="shared" si="34" ref="L78:L101">F78</f>
        <v>0</v>
      </c>
      <c r="M78" s="40">
        <f aca="true" t="shared" si="35" ref="M78:M105">E78</f>
        <v>0</v>
      </c>
      <c r="N78" s="40">
        <f aca="true" t="shared" si="36" ref="N78:N105">F78</f>
        <v>0</v>
      </c>
      <c r="O78" s="53">
        <f t="shared" si="32"/>
        <v>0</v>
      </c>
      <c r="P78" s="56" t="e">
        <f t="shared" si="33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8"/>
        <v>0</v>
      </c>
      <c r="H79" s="40" t="e">
        <f t="shared" si="29"/>
        <v>#DIV/0!</v>
      </c>
      <c r="I79" s="56">
        <f t="shared" si="30"/>
        <v>0</v>
      </c>
      <c r="J79" s="56" t="e">
        <f t="shared" si="31"/>
        <v>#DIV/0!</v>
      </c>
      <c r="K79" s="56"/>
      <c r="L79" s="56">
        <f t="shared" si="34"/>
        <v>0</v>
      </c>
      <c r="M79" s="40">
        <f t="shared" si="35"/>
        <v>0</v>
      </c>
      <c r="N79" s="40">
        <f t="shared" si="36"/>
        <v>0</v>
      </c>
      <c r="O79" s="53">
        <f t="shared" si="32"/>
        <v>0</v>
      </c>
      <c r="P79" s="56" t="e">
        <f t="shared" si="33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8"/>
        <v>0</v>
      </c>
      <c r="H80" s="40" t="e">
        <f t="shared" si="29"/>
        <v>#DIV/0!</v>
      </c>
      <c r="I80" s="56">
        <f t="shared" si="30"/>
        <v>0</v>
      </c>
      <c r="J80" s="56" t="e">
        <f t="shared" si="31"/>
        <v>#DIV/0!</v>
      </c>
      <c r="K80" s="56"/>
      <c r="L80" s="56">
        <f t="shared" si="34"/>
        <v>0</v>
      </c>
      <c r="M80" s="40">
        <f t="shared" si="35"/>
        <v>0</v>
      </c>
      <c r="N80" s="40">
        <f t="shared" si="36"/>
        <v>0</v>
      </c>
      <c r="O80" s="53">
        <f t="shared" si="32"/>
        <v>0</v>
      </c>
      <c r="P80" s="56" t="e">
        <f t="shared" si="33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8"/>
        <v>0</v>
      </c>
      <c r="H81" s="40" t="e">
        <f t="shared" si="29"/>
        <v>#DIV/0!</v>
      </c>
      <c r="I81" s="56">
        <f t="shared" si="30"/>
        <v>0</v>
      </c>
      <c r="J81" s="56" t="e">
        <f t="shared" si="31"/>
        <v>#DIV/0!</v>
      </c>
      <c r="K81" s="56"/>
      <c r="L81" s="56">
        <f t="shared" si="34"/>
        <v>0</v>
      </c>
      <c r="M81" s="40">
        <f t="shared" si="35"/>
        <v>0</v>
      </c>
      <c r="N81" s="40">
        <f t="shared" si="36"/>
        <v>0</v>
      </c>
      <c r="O81" s="53">
        <f t="shared" si="32"/>
        <v>0</v>
      </c>
      <c r="P81" s="56" t="e">
        <f t="shared" si="33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8"/>
        <v>0</v>
      </c>
      <c r="H82" s="40" t="e">
        <f t="shared" si="29"/>
        <v>#DIV/0!</v>
      </c>
      <c r="I82" s="56">
        <f t="shared" si="30"/>
        <v>0</v>
      </c>
      <c r="J82" s="56" t="e">
        <f t="shared" si="31"/>
        <v>#DIV/0!</v>
      </c>
      <c r="K82" s="56"/>
      <c r="L82" s="56">
        <f t="shared" si="34"/>
        <v>0</v>
      </c>
      <c r="M82" s="40">
        <f t="shared" si="35"/>
        <v>0</v>
      </c>
      <c r="N82" s="40">
        <f t="shared" si="36"/>
        <v>0</v>
      </c>
      <c r="O82" s="53">
        <f t="shared" si="32"/>
        <v>0</v>
      </c>
      <c r="P82" s="56" t="e">
        <f t="shared" si="33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8"/>
        <v>0</v>
      </c>
      <c r="H83" s="40" t="e">
        <f t="shared" si="29"/>
        <v>#DIV/0!</v>
      </c>
      <c r="I83" s="56">
        <f t="shared" si="30"/>
        <v>0</v>
      </c>
      <c r="J83" s="56" t="e">
        <f t="shared" si="31"/>
        <v>#DIV/0!</v>
      </c>
      <c r="K83" s="56"/>
      <c r="L83" s="56">
        <f t="shared" si="34"/>
        <v>0</v>
      </c>
      <c r="M83" s="40">
        <f t="shared" si="35"/>
        <v>0</v>
      </c>
      <c r="N83" s="40">
        <f t="shared" si="36"/>
        <v>0</v>
      </c>
      <c r="O83" s="53">
        <f t="shared" si="32"/>
        <v>0</v>
      </c>
      <c r="P83" s="56" t="e">
        <f t="shared" si="33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8"/>
        <v>0</v>
      </c>
      <c r="H84" s="40" t="e">
        <f t="shared" si="29"/>
        <v>#DIV/0!</v>
      </c>
      <c r="I84" s="56">
        <f t="shared" si="30"/>
        <v>0</v>
      </c>
      <c r="J84" s="56" t="e">
        <f t="shared" si="31"/>
        <v>#DIV/0!</v>
      </c>
      <c r="K84" s="56"/>
      <c r="L84" s="56">
        <f t="shared" si="34"/>
        <v>0</v>
      </c>
      <c r="M84" s="40">
        <f t="shared" si="35"/>
        <v>0</v>
      </c>
      <c r="N84" s="40">
        <f t="shared" si="36"/>
        <v>0</v>
      </c>
      <c r="O84" s="53">
        <f t="shared" si="32"/>
        <v>0</v>
      </c>
      <c r="P84" s="56" t="e">
        <f t="shared" si="33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8"/>
        <v>0</v>
      </c>
      <c r="H85" s="40" t="e">
        <f t="shared" si="29"/>
        <v>#DIV/0!</v>
      </c>
      <c r="I85" s="56">
        <f t="shared" si="30"/>
        <v>0</v>
      </c>
      <c r="J85" s="56" t="e">
        <f t="shared" si="31"/>
        <v>#DIV/0!</v>
      </c>
      <c r="K85" s="56"/>
      <c r="L85" s="56">
        <f t="shared" si="34"/>
        <v>0</v>
      </c>
      <c r="M85" s="40">
        <f t="shared" si="35"/>
        <v>0</v>
      </c>
      <c r="N85" s="40">
        <f t="shared" si="36"/>
        <v>0</v>
      </c>
      <c r="O85" s="53">
        <f t="shared" si="32"/>
        <v>0</v>
      </c>
      <c r="P85" s="56" t="e">
        <f t="shared" si="33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8"/>
        <v>0</v>
      </c>
      <c r="H86" s="40" t="e">
        <f t="shared" si="29"/>
        <v>#DIV/0!</v>
      </c>
      <c r="I86" s="56">
        <f t="shared" si="30"/>
        <v>-700</v>
      </c>
      <c r="J86" s="56">
        <f t="shared" si="31"/>
        <v>0</v>
      </c>
      <c r="K86" s="56">
        <f>F86-0</f>
        <v>0</v>
      </c>
      <c r="L86" s="56" t="e">
        <f>F86/0*100</f>
        <v>#DIV/0!</v>
      </c>
      <c r="M86" s="40">
        <f t="shared" si="35"/>
        <v>0</v>
      </c>
      <c r="N86" s="40">
        <f t="shared" si="36"/>
        <v>0</v>
      </c>
      <c r="O86" s="53">
        <f t="shared" si="32"/>
        <v>0</v>
      </c>
      <c r="P86" s="56" t="e">
        <f t="shared" si="33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5"/>
        <v>0</v>
      </c>
      <c r="N87" s="40">
        <f t="shared" si="36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8"/>
        <v>-0.1</v>
      </c>
      <c r="H88" s="40">
        <f>F88/E88*100</f>
        <v>0</v>
      </c>
      <c r="I88" s="56">
        <f t="shared" si="30"/>
        <v>-5.1</v>
      </c>
      <c r="J88" s="56">
        <f t="shared" si="31"/>
        <v>0</v>
      </c>
      <c r="K88" s="56">
        <f>F88-0</f>
        <v>0</v>
      </c>
      <c r="L88" s="56" t="e">
        <f>F88/0*100</f>
        <v>#DIV/0!</v>
      </c>
      <c r="M88" s="40">
        <f t="shared" si="35"/>
        <v>0.1</v>
      </c>
      <c r="N88" s="40">
        <f t="shared" si="36"/>
        <v>0</v>
      </c>
      <c r="O88" s="53">
        <f t="shared" si="32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8"/>
        <v>-0.9800000000000004</v>
      </c>
      <c r="H89" s="40">
        <f>F89/E89*100</f>
        <v>90.19999999999999</v>
      </c>
      <c r="I89" s="56">
        <f t="shared" si="30"/>
        <v>-50.980000000000004</v>
      </c>
      <c r="J89" s="56">
        <f t="shared" si="31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5"/>
        <v>10</v>
      </c>
      <c r="N89" s="40">
        <f t="shared" si="36"/>
        <v>9.02</v>
      </c>
      <c r="O89" s="53">
        <f t="shared" si="32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8"/>
        <v>0</v>
      </c>
      <c r="H90" s="40" t="e">
        <f>F90/E90*100</f>
        <v>#DIV/0!</v>
      </c>
      <c r="I90" s="56">
        <f t="shared" si="30"/>
        <v>0</v>
      </c>
      <c r="J90" s="56" t="e">
        <f t="shared" si="31"/>
        <v>#DIV/0!</v>
      </c>
      <c r="K90" s="56"/>
      <c r="L90" s="56">
        <f t="shared" si="34"/>
        <v>0</v>
      </c>
      <c r="M90" s="40">
        <f t="shared" si="35"/>
        <v>0</v>
      </c>
      <c r="N90" s="40">
        <f t="shared" si="36"/>
        <v>0</v>
      </c>
      <c r="O90" s="53">
        <f t="shared" si="32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8"/>
        <v>0</v>
      </c>
      <c r="H91" s="40" t="e">
        <f>F91/E91*100</f>
        <v>#DIV/0!</v>
      </c>
      <c r="I91" s="56">
        <f t="shared" si="30"/>
        <v>0</v>
      </c>
      <c r="J91" s="56" t="e">
        <f t="shared" si="31"/>
        <v>#DIV/0!</v>
      </c>
      <c r="K91" s="56"/>
      <c r="L91" s="56">
        <f t="shared" si="34"/>
        <v>0</v>
      </c>
      <c r="M91" s="40">
        <f t="shared" si="35"/>
        <v>0</v>
      </c>
      <c r="N91" s="40">
        <f t="shared" si="36"/>
        <v>0</v>
      </c>
      <c r="O91" s="53">
        <f t="shared" si="32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8"/>
        <v>0</v>
      </c>
      <c r="H92" s="40" t="e">
        <f>F92/E92*100</f>
        <v>#DIV/0!</v>
      </c>
      <c r="I92" s="56">
        <f t="shared" si="30"/>
        <v>0</v>
      </c>
      <c r="J92" s="56" t="e">
        <f t="shared" si="31"/>
        <v>#DIV/0!</v>
      </c>
      <c r="K92" s="56"/>
      <c r="L92" s="56">
        <f t="shared" si="34"/>
        <v>0</v>
      </c>
      <c r="M92" s="40">
        <f t="shared" si="35"/>
        <v>0</v>
      </c>
      <c r="N92" s="40">
        <f t="shared" si="36"/>
        <v>0</v>
      </c>
      <c r="O92" s="53">
        <f t="shared" si="32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4"/>
        <v>0</v>
      </c>
      <c r="M93" s="40">
        <f t="shared" si="35"/>
        <v>0</v>
      </c>
      <c r="N93" s="40">
        <f t="shared" si="36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7" ref="G94:G101">F94-E94</f>
        <v>0</v>
      </c>
      <c r="H94" s="40"/>
      <c r="I94" s="56">
        <f aca="true" t="shared" si="38" ref="I94:I100">F94-D94</f>
        <v>0</v>
      </c>
      <c r="J94" s="56"/>
      <c r="K94" s="56"/>
      <c r="L94" s="56">
        <f t="shared" si="34"/>
        <v>0</v>
      </c>
      <c r="M94" s="40">
        <f t="shared" si="35"/>
        <v>0</v>
      </c>
      <c r="N94" s="40">
        <f t="shared" si="36"/>
        <v>0</v>
      </c>
      <c r="O94" s="53">
        <f aca="true" t="shared" si="39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7"/>
        <v>17.49000000000001</v>
      </c>
      <c r="H95" s="40">
        <f>F95/E95*100</f>
        <v>102.7761904761905</v>
      </c>
      <c r="I95" s="56">
        <f t="shared" si="38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5"/>
        <v>630</v>
      </c>
      <c r="N95" s="40">
        <f t="shared" si="36"/>
        <v>647.49</v>
      </c>
      <c r="O95" s="53">
        <f t="shared" si="39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7"/>
        <v>-5.489999999999995</v>
      </c>
      <c r="H96" s="40">
        <f>F96/E96*100</f>
        <v>93.54117647058824</v>
      </c>
      <c r="I96" s="56">
        <f t="shared" si="38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5"/>
        <v>85</v>
      </c>
      <c r="N96" s="40">
        <f t="shared" si="36"/>
        <v>79.51</v>
      </c>
      <c r="O96" s="53">
        <f t="shared" si="39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7"/>
        <v>0</v>
      </c>
      <c r="H97" s="40"/>
      <c r="I97" s="56">
        <f t="shared" si="38"/>
        <v>0</v>
      </c>
      <c r="J97" s="56"/>
      <c r="K97" s="56"/>
      <c r="L97" s="56"/>
      <c r="M97" s="40">
        <f t="shared" si="35"/>
        <v>0</v>
      </c>
      <c r="N97" s="40">
        <f t="shared" si="36"/>
        <v>0</v>
      </c>
      <c r="O97" s="53">
        <f t="shared" si="39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7"/>
        <v>0</v>
      </c>
      <c r="H98" s="40" t="e">
        <f>F98/E98*100</f>
        <v>#DIV/0!</v>
      </c>
      <c r="I98" s="56">
        <f t="shared" si="38"/>
        <v>0</v>
      </c>
      <c r="J98" s="56" t="e">
        <f>F98/D98*100</f>
        <v>#DIV/0!</v>
      </c>
      <c r="K98" s="56"/>
      <c r="L98" s="56">
        <f t="shared" si="34"/>
        <v>0</v>
      </c>
      <c r="M98" s="40">
        <f t="shared" si="35"/>
        <v>0</v>
      </c>
      <c r="N98" s="40">
        <f t="shared" si="36"/>
        <v>0</v>
      </c>
      <c r="O98" s="53">
        <f t="shared" si="39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7"/>
        <v>-52.620000000000005</v>
      </c>
      <c r="H99" s="40">
        <f>F99/E99*100</f>
        <v>84.05454545454545</v>
      </c>
      <c r="I99" s="56">
        <f t="shared" si="38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5"/>
        <v>330</v>
      </c>
      <c r="N99" s="40">
        <f t="shared" si="36"/>
        <v>277.38</v>
      </c>
      <c r="O99" s="53">
        <f t="shared" si="39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7"/>
        <v>0</v>
      </c>
      <c r="H100" s="40" t="e">
        <f>F100/E100*100</f>
        <v>#DIV/0!</v>
      </c>
      <c r="I100" s="56">
        <f t="shared" si="38"/>
        <v>0</v>
      </c>
      <c r="J100" s="56" t="e">
        <f>F100/D100*100</f>
        <v>#DIV/0!</v>
      </c>
      <c r="K100" s="56"/>
      <c r="L100" s="56">
        <f t="shared" si="34"/>
        <v>0</v>
      </c>
      <c r="M100" s="40">
        <f t="shared" si="35"/>
        <v>0</v>
      </c>
      <c r="N100" s="40">
        <f t="shared" si="36"/>
        <v>0</v>
      </c>
      <c r="O100" s="53">
        <f t="shared" si="39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7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4"/>
        <v>0</v>
      </c>
      <c r="M101" s="40">
        <f t="shared" si="35"/>
        <v>0</v>
      </c>
      <c r="N101" s="40">
        <f t="shared" si="36"/>
        <v>0</v>
      </c>
      <c r="O101" s="53">
        <f t="shared" si="39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9">
        <v>64.7</v>
      </c>
      <c r="G102" s="146"/>
      <c r="H102" s="148"/>
      <c r="I102" s="147"/>
      <c r="J102" s="147"/>
      <c r="K102" s="147">
        <f>F102-30.6</f>
        <v>34.1</v>
      </c>
      <c r="L102" s="150">
        <f>F102/30.6*100</f>
        <v>211.43790849673204</v>
      </c>
      <c r="M102" s="40">
        <f t="shared" si="35"/>
        <v>0</v>
      </c>
      <c r="N102" s="40">
        <f t="shared" si="36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40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5"/>
        <v>0</v>
      </c>
      <c r="N103" s="40">
        <f t="shared" si="36"/>
        <v>0</v>
      </c>
      <c r="O103" s="53">
        <f aca="true" t="shared" si="41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40"/>
        <v>-3.79</v>
      </c>
      <c r="J104" s="56">
        <f aca="true" t="shared" si="42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5"/>
        <v>1</v>
      </c>
      <c r="N104" s="40">
        <f t="shared" si="36"/>
        <v>2.21</v>
      </c>
      <c r="O104" s="53">
        <f t="shared" si="41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5"/>
        <v>0</v>
      </c>
      <c r="N105" s="40">
        <f t="shared" si="36"/>
        <v>0</v>
      </c>
      <c r="O105" s="53">
        <f t="shared" si="41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40"/>
        <v>-196209.2</v>
      </c>
      <c r="J106" s="36">
        <f t="shared" si="42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1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40"/>
        <v>-154082.38</v>
      </c>
      <c r="J107" s="52">
        <f t="shared" si="42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1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40"/>
        <v>-42126.82000000001</v>
      </c>
      <c r="J108" s="52">
        <f t="shared" si="42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1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0"/>
        <v>-392918.58</v>
      </c>
      <c r="J109" s="52">
        <f t="shared" si="42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1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0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3" ref="G113:G125">F113-E113</f>
        <v>0.18</v>
      </c>
      <c r="H113" s="40"/>
      <c r="I113" s="60">
        <f aca="true" t="shared" si="44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5" ref="M113:N115">E113</f>
        <v>0</v>
      </c>
      <c r="N113" s="40">
        <f t="shared" si="45"/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3"/>
        <v>-494.89</v>
      </c>
      <c r="H114" s="40">
        <f aca="true" t="shared" si="46" ref="H114:H125">F114/E114*100</f>
        <v>12.102374651439533</v>
      </c>
      <c r="I114" s="60">
        <f t="shared" si="44"/>
        <v>-3310.02</v>
      </c>
      <c r="J114" s="60">
        <f aca="true" t="shared" si="47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 t="shared" si="45"/>
        <v>563.03</v>
      </c>
      <c r="N114" s="40">
        <f t="shared" si="45"/>
        <v>68.14</v>
      </c>
      <c r="O114" s="53">
        <f aca="true" t="shared" si="48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3"/>
        <v>-0.46999999999999886</v>
      </c>
      <c r="H115" s="40">
        <f t="shared" si="46"/>
        <v>98.12</v>
      </c>
      <c r="I115" s="60">
        <f t="shared" si="44"/>
        <v>-125.47</v>
      </c>
      <c r="J115" s="60">
        <f t="shared" si="47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 t="shared" si="45"/>
        <v>25</v>
      </c>
      <c r="N115" s="40">
        <f t="shared" si="45"/>
        <v>24.53</v>
      </c>
      <c r="O115" s="53">
        <f t="shared" si="48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3"/>
        <v>-495.17999999999995</v>
      </c>
      <c r="H116" s="72">
        <f t="shared" si="46"/>
        <v>15.790010713739097</v>
      </c>
      <c r="I116" s="61">
        <f t="shared" si="44"/>
        <v>-3435.31</v>
      </c>
      <c r="J116" s="61">
        <f t="shared" si="47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8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3"/>
        <v>0</v>
      </c>
      <c r="H117" s="40" t="e">
        <f t="shared" si="46"/>
        <v>#DIV/0!</v>
      </c>
      <c r="I117" s="60">
        <f t="shared" si="44"/>
        <v>0</v>
      </c>
      <c r="J117" s="60" t="e">
        <f t="shared" si="47"/>
        <v>#DIV/0!</v>
      </c>
      <c r="K117" s="60"/>
      <c r="L117" s="60"/>
      <c r="M117" s="41">
        <v>0</v>
      </c>
      <c r="N117" s="41">
        <f aca="true" t="shared" si="49" ref="N117:N122">F117</f>
        <v>0</v>
      </c>
      <c r="O117" s="53">
        <f t="shared" si="48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3"/>
        <v>54.32</v>
      </c>
      <c r="H118" s="40" t="e">
        <f t="shared" si="46"/>
        <v>#DIV/0!</v>
      </c>
      <c r="I118" s="60">
        <f t="shared" si="44"/>
        <v>54.32</v>
      </c>
      <c r="J118" s="60" t="e">
        <f t="shared" si="47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49"/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3"/>
        <v>7479.86</v>
      </c>
      <c r="H119" s="40" t="e">
        <f t="shared" si="46"/>
        <v>#DIV/0!</v>
      </c>
      <c r="I119" s="53">
        <f t="shared" si="44"/>
        <v>7479.86</v>
      </c>
      <c r="J119" s="60" t="e">
        <f t="shared" si="47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 t="shared" si="49"/>
        <v>7479.86</v>
      </c>
      <c r="O119" s="53">
        <f t="shared" si="48"/>
        <v>7479.86</v>
      </c>
      <c r="P119" s="60" t="e">
        <f aca="true" t="shared" si="50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3"/>
        <v>0.04</v>
      </c>
      <c r="H120" s="40" t="e">
        <f t="shared" si="46"/>
        <v>#DIV/0!</v>
      </c>
      <c r="I120" s="60">
        <f t="shared" si="44"/>
        <v>0.04</v>
      </c>
      <c r="J120" s="60" t="e">
        <f t="shared" si="47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49"/>
        <v>0.04</v>
      </c>
      <c r="O120" s="53">
        <f t="shared" si="48"/>
        <v>0.04</v>
      </c>
      <c r="P120" s="60" t="e">
        <f t="shared" si="50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3"/>
        <v>450.01</v>
      </c>
      <c r="H121" s="40" t="e">
        <f t="shared" si="46"/>
        <v>#DIV/0!</v>
      </c>
      <c r="I121" s="60">
        <f t="shared" si="44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49"/>
        <v>450.01</v>
      </c>
      <c r="O121" s="53">
        <f t="shared" si="48"/>
        <v>450.01</v>
      </c>
      <c r="P121" s="60" t="e">
        <f t="shared" si="50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3"/>
        <v>1.05</v>
      </c>
      <c r="H122" s="40" t="e">
        <f t="shared" si="46"/>
        <v>#DIV/0!</v>
      </c>
      <c r="I122" s="60">
        <f t="shared" si="44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49"/>
        <v>1.05</v>
      </c>
      <c r="O122" s="53">
        <f t="shared" si="48"/>
        <v>1.05</v>
      </c>
      <c r="P122" s="60" t="e">
        <f t="shared" si="50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3"/>
        <v>7985.28</v>
      </c>
      <c r="H123" s="72" t="e">
        <f t="shared" si="46"/>
        <v>#DIV/0!</v>
      </c>
      <c r="I123" s="61">
        <f t="shared" si="44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8"/>
        <v>7985.28</v>
      </c>
      <c r="P123" s="61" t="e">
        <f t="shared" si="50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3"/>
        <v>0.16</v>
      </c>
      <c r="H124" s="40" t="e">
        <f t="shared" si="46"/>
        <v>#DIV/0!</v>
      </c>
      <c r="I124" s="60">
        <f t="shared" si="44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 aca="true" t="shared" si="51" ref="M124:N128">E124</f>
        <v>0</v>
      </c>
      <c r="N124" s="40">
        <f t="shared" si="51"/>
        <v>0.16</v>
      </c>
      <c r="O124" s="53">
        <f t="shared" si="48"/>
        <v>0.16</v>
      </c>
      <c r="P124" s="60" t="e">
        <f t="shared" si="50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3"/>
        <v>0</v>
      </c>
      <c r="H125" s="40" t="e">
        <f t="shared" si="46"/>
        <v>#DIV/0!</v>
      </c>
      <c r="I125" s="63"/>
      <c r="J125" s="63"/>
      <c r="K125" s="63"/>
      <c r="L125" s="60">
        <f>F125</f>
        <v>0</v>
      </c>
      <c r="M125" s="40">
        <f t="shared" si="51"/>
        <v>0</v>
      </c>
      <c r="N125" s="40">
        <f t="shared" si="51"/>
        <v>0</v>
      </c>
      <c r="O125" s="53">
        <f t="shared" si="48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1"/>
        <v>0</v>
      </c>
      <c r="N126" s="40">
        <f t="shared" si="51"/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52" ref="G127:G134">F127-E127</f>
        <v>-712.4300000000001</v>
      </c>
      <c r="H127" s="40">
        <f>F127/E127*100</f>
        <v>2.4202164087111355</v>
      </c>
      <c r="I127" s="60">
        <f aca="true" t="shared" si="53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 t="shared" si="51"/>
        <v>730.1</v>
      </c>
      <c r="N127" s="40">
        <f t="shared" si="51"/>
        <v>17.67</v>
      </c>
      <c r="O127" s="53">
        <f aca="true" t="shared" si="54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2"/>
        <v>-0.21</v>
      </c>
      <c r="H128" s="40"/>
      <c r="I128" s="60">
        <f t="shared" si="53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1"/>
        <v>0</v>
      </c>
      <c r="N128" s="40">
        <f t="shared" si="51"/>
        <v>-0.21</v>
      </c>
      <c r="O128" s="53">
        <f t="shared" si="54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52"/>
        <v>-703.72</v>
      </c>
      <c r="H129" s="72">
        <f>F129/E129*100</f>
        <v>3.6132036707300372</v>
      </c>
      <c r="I129" s="61">
        <f t="shared" si="53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4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 aca="true" t="shared" si="55" ref="M130:N132">E130</f>
        <v>0</v>
      </c>
      <c r="N130" s="40">
        <f t="shared" si="55"/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5"/>
        <v>302</v>
      </c>
      <c r="N131" s="40">
        <f t="shared" si="55"/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52"/>
        <v>-9.24</v>
      </c>
      <c r="H132" s="40">
        <f>F132/E132*100</f>
        <v>0</v>
      </c>
      <c r="I132" s="60">
        <f t="shared" si="53"/>
        <v>-55.43</v>
      </c>
      <c r="J132" s="60">
        <f>F132/D132*100</f>
        <v>0</v>
      </c>
      <c r="K132" s="60"/>
      <c r="L132" s="60">
        <f>F132/65.9*100</f>
        <v>0</v>
      </c>
      <c r="M132" s="40">
        <f t="shared" si="55"/>
        <v>9.24</v>
      </c>
      <c r="N132" s="40">
        <f t="shared" si="55"/>
        <v>0</v>
      </c>
      <c r="O132" s="53">
        <f t="shared" si="5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52"/>
        <v>6475.59</v>
      </c>
      <c r="H133" s="51">
        <f>F133/E133*100</f>
        <v>497.4290676764639</v>
      </c>
      <c r="I133" s="36">
        <f t="shared" si="53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4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52"/>
        <v>5981.489999999998</v>
      </c>
      <c r="H134" s="51">
        <f>F134/E134*100</f>
        <v>116.21374805612245</v>
      </c>
      <c r="I134" s="36">
        <f t="shared" si="53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4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2014-02-24T10:55:01Z</cp:lastPrinted>
  <dcterms:created xsi:type="dcterms:W3CDTF">2003-07-28T11:27:56Z</dcterms:created>
  <dcterms:modified xsi:type="dcterms:W3CDTF">2014-02-24T12:21:03Z</dcterms:modified>
  <cp:category/>
  <cp:version/>
  <cp:contentType/>
  <cp:contentStatus/>
</cp:coreProperties>
</file>